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郭丽璇\招采工作\御园项目\润凯御园腻子涂料劳务工程\"/>
    </mc:Choice>
  </mc:AlternateContent>
  <xr:revisionPtr revIDLastSave="0" documentId="13_ncr:1_{F91B9ED6-ACEB-45E0-B219-D6CA57A81E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住宅楼" sheetId="4" r:id="rId1"/>
    <sheet name="车库" sheetId="2" r:id="rId2"/>
  </sheets>
  <definedNames>
    <definedName name="_xlnm.Print_Titles" localSheetId="1">车库!$2:$2</definedName>
    <definedName name="_xlnm.Print_Titles" localSheetId="0">住宅楼!$2:$2</definedName>
  </definedNames>
  <calcPr calcId="191029"/>
</workbook>
</file>

<file path=xl/calcChain.xml><?xml version="1.0" encoding="utf-8"?>
<calcChain xmlns="http://schemas.openxmlformats.org/spreadsheetml/2006/main">
  <c r="H11" i="2" l="1"/>
  <c r="H10" i="2"/>
  <c r="H4" i="2"/>
  <c r="H3" i="2"/>
  <c r="H5" i="2"/>
  <c r="H6" i="2"/>
  <c r="H7" i="2"/>
  <c r="H8" i="2"/>
  <c r="H9" i="2"/>
  <c r="P14" i="4"/>
  <c r="P12" i="4"/>
  <c r="P13" i="4"/>
  <c r="P5" i="4"/>
  <c r="P6" i="4"/>
  <c r="P7" i="4"/>
  <c r="P8" i="4"/>
  <c r="P9" i="4"/>
  <c r="P10" i="4"/>
  <c r="P11" i="4"/>
  <c r="P4" i="4"/>
  <c r="F7" i="4"/>
  <c r="N6" i="4"/>
  <c r="I5" i="4"/>
  <c r="M5" i="4"/>
  <c r="L5" i="4"/>
  <c r="J5" i="4"/>
  <c r="H5" i="4"/>
  <c r="K5" i="4" s="1"/>
  <c r="G5" i="4"/>
  <c r="N4" i="4"/>
  <c r="F8" i="2"/>
  <c r="F4" i="2"/>
  <c r="M13" i="4"/>
  <c r="L13" i="4"/>
  <c r="J13" i="4"/>
  <c r="I13" i="4"/>
  <c r="H13" i="4"/>
  <c r="G13" i="4"/>
  <c r="F13" i="4"/>
  <c r="M12" i="4"/>
  <c r="L12" i="4"/>
  <c r="J12" i="4"/>
  <c r="I12" i="4"/>
  <c r="H12" i="4"/>
  <c r="G12" i="4"/>
  <c r="F12" i="4"/>
  <c r="M11" i="4"/>
  <c r="L11" i="4"/>
  <c r="J11" i="4"/>
  <c r="I11" i="4"/>
  <c r="H11" i="4"/>
  <c r="G11" i="4"/>
  <c r="F11" i="4"/>
  <c r="M10" i="4"/>
  <c r="L10" i="4"/>
  <c r="K10" i="4"/>
  <c r="J10" i="4"/>
  <c r="I10" i="4"/>
  <c r="H10" i="4"/>
  <c r="G10" i="4"/>
  <c r="F10" i="4"/>
  <c r="M9" i="4"/>
  <c r="L9" i="4"/>
  <c r="J9" i="4"/>
  <c r="I9" i="4"/>
  <c r="H9" i="4"/>
  <c r="G9" i="4"/>
  <c r="F9" i="4"/>
  <c r="N8" i="4"/>
  <c r="M7" i="4"/>
  <c r="L7" i="4"/>
  <c r="J7" i="4"/>
  <c r="I7" i="4"/>
  <c r="H7" i="4"/>
  <c r="G7" i="4"/>
  <c r="N7" i="4" l="1"/>
  <c r="N5" i="4"/>
  <c r="N12" i="4"/>
  <c r="N9" i="4"/>
  <c r="N13" i="4"/>
  <c r="N10" i="4"/>
  <c r="N11" i="4"/>
</calcChain>
</file>

<file path=xl/sharedStrings.xml><?xml version="1.0" encoding="utf-8"?>
<sst xmlns="http://schemas.openxmlformats.org/spreadsheetml/2006/main" count="115" uniqueCount="78">
  <si>
    <t>编号</t>
  </si>
  <si>
    <t>名称</t>
  </si>
  <si>
    <t>施工做法</t>
  </si>
  <si>
    <t>部位</t>
  </si>
  <si>
    <t>单位</t>
  </si>
  <si>
    <t>工程量</t>
  </si>
  <si>
    <t>1#楼</t>
  </si>
  <si>
    <t>2#楼</t>
  </si>
  <si>
    <t>9#楼</t>
  </si>
  <si>
    <t>10#楼</t>
  </si>
  <si>
    <t>11#楼</t>
  </si>
  <si>
    <t>12#楼</t>
  </si>
  <si>
    <t>19#楼</t>
  </si>
  <si>
    <t>20#楼</t>
  </si>
  <si>
    <t>小计</t>
  </si>
  <si>
    <t>白色无机涂料
水泥砂浆墙面</t>
  </si>
  <si>
    <t>地下微型车位</t>
  </si>
  <si>
    <t>㎡</t>
  </si>
  <si>
    <t>4)清理抹灰层
5)耐水腻子两遍</t>
  </si>
  <si>
    <t>内墙 2</t>
  </si>
  <si>
    <t>混合砂浆墙面
白色无机涂料</t>
  </si>
  <si>
    <t>地上楼梯间</t>
  </si>
  <si>
    <t>4)清理抹灰层
5)刮腻子两遍,分遍磨平
6)涂料一遍</t>
  </si>
  <si>
    <t>内墙 3</t>
  </si>
  <si>
    <t>内墙 4</t>
  </si>
  <si>
    <t>4）两遍耐水腻子</t>
  </si>
  <si>
    <t>顶棚 1</t>
  </si>
  <si>
    <t>白色无机涂料
水泥砂浆顶棚</t>
  </si>
  <si>
    <t>1) 现浇钢筋混凝土板底面清理干净
2) 2遍耐水腻子</t>
  </si>
  <si>
    <t>顶棚 2</t>
  </si>
  <si>
    <t>灰色涂料
有保温顶棚</t>
  </si>
  <si>
    <t>顶棚 3</t>
  </si>
  <si>
    <t>白色无机涂料
混合砂浆顶棚</t>
  </si>
  <si>
    <t>顶棚 4</t>
  </si>
  <si>
    <t>客厅、餐厅
卧室、书房
阳台、商业网点</t>
  </si>
  <si>
    <t>顶棚 5</t>
  </si>
  <si>
    <t>白色涂料顶棚
水泥砂浆顶棚
防水、防潮顶棚</t>
  </si>
  <si>
    <t>1) 现浇钢筋混凝土板底面清理干净、打磨平整
2) 两遍腻子找平（或抗裂砂浆）</t>
  </si>
  <si>
    <t>踢脚 1</t>
  </si>
  <si>
    <t>涂料踢脚
高度 100</t>
  </si>
  <si>
    <t>墙面做法到底，如遇踢脚则刷一遍灰色涂料</t>
  </si>
  <si>
    <t>踢脚 2</t>
  </si>
  <si>
    <t>卫生间</t>
  </si>
  <si>
    <t>5)清理抹灰层
6)耐水腻子两遍</t>
  </si>
  <si>
    <t>1) 素水泥浆一道甩毛(内掺建筑胶),挂钢丝网片（网片规格：镀锌电焊网规格16#，钢丝间距20*20mm）
2) 2 厚配套专用界面砂浆批刮
2) 7 厚 2:1:8 水泥石灰砂浆
3) 6 厚 1:2 水泥砂浆找平,压入一层耐碱玻纤网格布</t>
  </si>
  <si>
    <t>白色无机涂料
顶棚</t>
  </si>
  <si>
    <t>1) 现浇钢筋混凝土板底面清理、打磨干净
2) 耐水腻子两遍
3)涂料两遍</t>
  </si>
  <si>
    <t>1) 现浇钢筋混凝土板底面清理、打磨干净
2） 耐水腻子两遍</t>
  </si>
  <si>
    <t>灰色涂料喷涂</t>
  </si>
  <si>
    <t>车库、坡道</t>
  </si>
  <si>
    <t>1) 现浇钢筋混凝土板底面清理干净
2) 基层处理
3)2厚耐水腻子</t>
  </si>
  <si>
    <t>水泥砂浆踢脚
高度 100</t>
  </si>
  <si>
    <t>灰色涂料踢脚</t>
  </si>
  <si>
    <t>地下楼梯间 水泵房
配电间 换热站
报警阀室</t>
  </si>
  <si>
    <t>内墙 1</t>
    <phoneticPr fontId="7" type="noConversion"/>
  </si>
  <si>
    <t>地下楼梯间
地下公共走道</t>
    <phoneticPr fontId="7" type="noConversion"/>
  </si>
  <si>
    <t>1）灰色涂料喷涂</t>
    <phoneticPr fontId="7" type="noConversion"/>
  </si>
  <si>
    <t>1) 现浇钢筋混凝土板底面清理干净、打磨平整
2)两遍腻子找平，下翻10cm</t>
    <phoneticPr fontId="7" type="noConversion"/>
  </si>
  <si>
    <t>润凯御园三区一期室内腻子涂料工程报价清单</t>
    <phoneticPr fontId="7" type="noConversion"/>
  </si>
  <si>
    <t>综合单价
（元）</t>
    <phoneticPr fontId="7" type="noConversion"/>
  </si>
  <si>
    <t>综合合价
（元）</t>
    <phoneticPr fontId="7" type="noConversion"/>
  </si>
  <si>
    <t>合计</t>
    <phoneticPr fontId="7" type="noConversion"/>
  </si>
  <si>
    <t>水暖井、电井
电梯机房、风机房、水箱间、窗井
地下楼梯间
上部为非采暖房间的地下
一层各功能房间及公共走道</t>
    <phoneticPr fontId="7" type="noConversion"/>
  </si>
  <si>
    <t>地下各功能房间、电梯机房、风机房、水箱间</t>
    <phoneticPr fontId="7" type="noConversion"/>
  </si>
  <si>
    <t>地上楼梯间
地上公共走道
地上合用前室</t>
    <phoneticPr fontId="7" type="noConversion"/>
  </si>
  <si>
    <t>厨房
卫生间</t>
    <phoneticPr fontId="7" type="noConversion"/>
  </si>
  <si>
    <t>楼梯间、电梯机房
地下各功能房间</t>
    <phoneticPr fontId="7" type="noConversion"/>
  </si>
  <si>
    <t>客厅、餐厅
卧室、书房</t>
    <phoneticPr fontId="7" type="noConversion"/>
  </si>
  <si>
    <t>白色无机涂料
混合砂浆顶棚</t>
    <phoneticPr fontId="7" type="noConversion"/>
  </si>
  <si>
    <t>1) 现浇钢筋混凝土板底面清理干净、打磨平整
2)两遍腻子找平
3)涂饰面层涂料一遍</t>
    <phoneticPr fontId="7" type="noConversion"/>
  </si>
  <si>
    <t>润凯御园三区一期车库腻子涂料工程报价清单</t>
    <phoneticPr fontId="7" type="noConversion"/>
  </si>
  <si>
    <t>5)清理抹灰层
6)耐水腻子两遍</t>
    <phoneticPr fontId="7" type="noConversion"/>
  </si>
  <si>
    <t>地下楼梯间</t>
    <phoneticPr fontId="7" type="noConversion"/>
  </si>
  <si>
    <t>白色无机涂料
水泥砂浆墙面</t>
    <phoneticPr fontId="7" type="noConversion"/>
  </si>
  <si>
    <t>配电间
报警阀室
水泵房
换热站、热计量间、进风机房、排风机房</t>
    <phoneticPr fontId="7" type="noConversion"/>
  </si>
  <si>
    <t>车库、坡道
社区综合服务设施服务
文化活动站
物业管理与服务设施
消防控制室</t>
    <phoneticPr fontId="7" type="noConversion"/>
  </si>
  <si>
    <t>社区综合服务设施服务
文化活动站
物业管理与服务设施</t>
    <phoneticPr fontId="7" type="noConversion"/>
  </si>
  <si>
    <t>消防控制室
换热站、热计量间
配电间 报警阀室 水泵房、进风机房、排风机房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</si>
</sst>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8" formatCode="0_ "/>
  </numFmts>
  <fonts count="13" x14ac:knownFonts="1">
    <font>
      <sz val="11"/>
      <color theme="1"/>
      <name val="宋体"/>
      <charset val="134"/>
      <scheme val="minor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8"/>
      <name val="微软雅黑"/>
      <family val="2"/>
      <charset val="134"/>
    </font>
    <font>
      <b/>
      <sz val="8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9" fillId="0" borderId="1" xfId="0" applyFont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zoomScale="115" zoomScaleNormal="115" workbookViewId="0">
      <pane ySplit="3" topLeftCell="A4" activePane="bottomLeft" state="frozen"/>
      <selection pane="bottomLeft" activeCell="N4" sqref="N4"/>
    </sheetView>
  </sheetViews>
  <sheetFormatPr defaultColWidth="8" defaultRowHeight="13.5" x14ac:dyDescent="0.3"/>
  <cols>
    <col min="1" max="1" width="6.875" style="16" customWidth="1"/>
    <col min="2" max="2" width="11" style="16" customWidth="1"/>
    <col min="3" max="3" width="21.375" style="17" customWidth="1"/>
    <col min="4" max="4" width="17.375" style="15" customWidth="1"/>
    <col min="5" max="5" width="4.5" style="14" customWidth="1"/>
    <col min="6" max="13" width="0" style="14" hidden="1" customWidth="1"/>
    <col min="14" max="14" width="7.375" style="35" customWidth="1"/>
    <col min="15" max="16" width="9.25" style="16" customWidth="1"/>
    <col min="17" max="16384" width="8" style="16"/>
  </cols>
  <sheetData>
    <row r="1" spans="1:16" ht="16.5" x14ac:dyDescent="0.3">
      <c r="A1" s="38" t="s">
        <v>58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s="14" customFormat="1" x14ac:dyDescent="0.15">
      <c r="A2" s="29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/>
      <c r="H2" s="29"/>
      <c r="I2" s="29"/>
      <c r="J2" s="29"/>
      <c r="K2" s="29"/>
      <c r="L2" s="29"/>
      <c r="M2" s="29"/>
      <c r="N2" s="29"/>
      <c r="O2" s="31" t="s">
        <v>59</v>
      </c>
      <c r="P2" s="31" t="s">
        <v>60</v>
      </c>
    </row>
    <row r="3" spans="1:16" s="14" customFormat="1" x14ac:dyDescent="0.15">
      <c r="A3" s="29"/>
      <c r="B3" s="29"/>
      <c r="C3" s="29"/>
      <c r="D3" s="29"/>
      <c r="E3" s="29"/>
      <c r="F3" s="30" t="s">
        <v>6</v>
      </c>
      <c r="G3" s="30" t="s">
        <v>7</v>
      </c>
      <c r="H3" s="30" t="s">
        <v>8</v>
      </c>
      <c r="I3" s="30" t="s">
        <v>9</v>
      </c>
      <c r="J3" s="30" t="s">
        <v>10</v>
      </c>
      <c r="K3" s="30" t="s">
        <v>11</v>
      </c>
      <c r="L3" s="30" t="s">
        <v>12</v>
      </c>
      <c r="M3" s="30" t="s">
        <v>13</v>
      </c>
      <c r="N3" s="34" t="s">
        <v>14</v>
      </c>
      <c r="O3" s="32"/>
      <c r="P3" s="32"/>
    </row>
    <row r="4" spans="1:16" ht="27" x14ac:dyDescent="0.3">
      <c r="A4" s="22" t="s">
        <v>54</v>
      </c>
      <c r="B4" s="28" t="s">
        <v>15</v>
      </c>
      <c r="C4" s="21" t="s">
        <v>18</v>
      </c>
      <c r="D4" s="22" t="s">
        <v>55</v>
      </c>
      <c r="E4" s="18" t="s">
        <v>17</v>
      </c>
      <c r="F4" s="18">
        <v>272.64</v>
      </c>
      <c r="G4" s="18">
        <v>304.67</v>
      </c>
      <c r="H4" s="18">
        <v>260.27</v>
      </c>
      <c r="I4" s="18">
        <v>316.19</v>
      </c>
      <c r="J4" s="18">
        <v>353.7</v>
      </c>
      <c r="K4" s="18">
        <v>260.49</v>
      </c>
      <c r="L4" s="18">
        <v>715.88</v>
      </c>
      <c r="M4" s="18">
        <v>686.1</v>
      </c>
      <c r="N4" s="37">
        <f>SUM(F4:M4)</f>
        <v>3169.94</v>
      </c>
      <c r="O4" s="33"/>
      <c r="P4" s="33">
        <f>O4*N4</f>
        <v>0</v>
      </c>
    </row>
    <row r="5" spans="1:16" s="15" customFormat="1" ht="40.5" x14ac:dyDescent="0.3">
      <c r="A5" s="19" t="s">
        <v>19</v>
      </c>
      <c r="B5" s="19" t="s">
        <v>20</v>
      </c>
      <c r="C5" s="20" t="s">
        <v>22</v>
      </c>
      <c r="D5" s="19" t="s">
        <v>21</v>
      </c>
      <c r="E5" s="18" t="s">
        <v>17</v>
      </c>
      <c r="F5" s="18">
        <v>1667.77</v>
      </c>
      <c r="G5" s="18">
        <f>389.2+349.9+72.06*11+102.66</f>
        <v>1634.42</v>
      </c>
      <c r="H5" s="18">
        <f>52.83+44.03+38.6*17</f>
        <v>753.06000000000006</v>
      </c>
      <c r="I5" s="18">
        <f>88.68+69.75*17+102.11</f>
        <v>1376.54</v>
      </c>
      <c r="J5" s="18">
        <f>66.42+72.51*15+104.06</f>
        <v>1258.1300000000001</v>
      </c>
      <c r="K5" s="18">
        <f>H5</f>
        <v>753.06000000000006</v>
      </c>
      <c r="L5" s="18">
        <f>85.37+77.3+74.78*14+97.43</f>
        <v>1307.0200000000002</v>
      </c>
      <c r="M5" s="18">
        <f>73.18*17+36.59</f>
        <v>1280.6500000000001</v>
      </c>
      <c r="N5" s="37">
        <f>SUM(F5:M5)</f>
        <v>10030.65</v>
      </c>
      <c r="O5" s="33"/>
      <c r="P5" s="33">
        <f t="shared" ref="P5:P14" si="0">O5*N5</f>
        <v>0</v>
      </c>
    </row>
    <row r="6" spans="1:16" ht="27" x14ac:dyDescent="0.3">
      <c r="A6" s="19" t="s">
        <v>24</v>
      </c>
      <c r="B6" s="27" t="s">
        <v>15</v>
      </c>
      <c r="C6" s="21" t="s">
        <v>25</v>
      </c>
      <c r="D6" s="19" t="s">
        <v>63</v>
      </c>
      <c r="E6" s="18" t="s">
        <v>17</v>
      </c>
      <c r="F6" s="18">
        <v>449.82</v>
      </c>
      <c r="G6" s="18">
        <v>402.78999999999996</v>
      </c>
      <c r="H6" s="18">
        <v>465.26</v>
      </c>
      <c r="I6" s="18">
        <v>654.69000000000005</v>
      </c>
      <c r="J6" s="18">
        <v>658.25</v>
      </c>
      <c r="K6" s="18">
        <v>465.26</v>
      </c>
      <c r="L6" s="18">
        <v>1915.45</v>
      </c>
      <c r="M6" s="18">
        <v>1973.2099999999998</v>
      </c>
      <c r="N6" s="37">
        <f>SUM(F6:M6)</f>
        <v>6984.73</v>
      </c>
      <c r="O6" s="33"/>
      <c r="P6" s="33">
        <f t="shared" si="0"/>
        <v>0</v>
      </c>
    </row>
    <row r="7" spans="1:16" ht="81" x14ac:dyDescent="0.3">
      <c r="A7" s="22" t="s">
        <v>26</v>
      </c>
      <c r="B7" s="22" t="s">
        <v>27</v>
      </c>
      <c r="C7" s="20" t="s">
        <v>28</v>
      </c>
      <c r="D7" s="22" t="s">
        <v>62</v>
      </c>
      <c r="E7" s="18" t="s">
        <v>17</v>
      </c>
      <c r="F7" s="18">
        <f>12.4*2*2*1.8</f>
        <v>89.28</v>
      </c>
      <c r="G7" s="18">
        <f>58.94+22.17+25.6</f>
        <v>106.71000000000001</v>
      </c>
      <c r="H7" s="18">
        <f>11.36</f>
        <v>11.36</v>
      </c>
      <c r="I7" s="14">
        <f>17.67+9.95*2+1.8+89.14</f>
        <v>128.51</v>
      </c>
      <c r="J7" s="18">
        <f>50.14+16.96+18.56</f>
        <v>85.66</v>
      </c>
      <c r="K7" s="18">
        <v>11.36</v>
      </c>
      <c r="L7" s="18">
        <f>58.98+1.8+3.81*18+42.48</f>
        <v>171.83999999999997</v>
      </c>
      <c r="M7" s="18">
        <f>20.88+29.5+1.8+23.31+26.67</f>
        <v>102.16</v>
      </c>
      <c r="N7" s="37">
        <f>SUM(F7:M7)</f>
        <v>706.88</v>
      </c>
      <c r="O7" s="33"/>
      <c r="P7" s="33">
        <f t="shared" si="0"/>
        <v>0</v>
      </c>
    </row>
    <row r="8" spans="1:16" ht="27" x14ac:dyDescent="0.3">
      <c r="A8" s="22" t="s">
        <v>29</v>
      </c>
      <c r="B8" s="22" t="s">
        <v>30</v>
      </c>
      <c r="C8" s="21" t="s">
        <v>56</v>
      </c>
      <c r="D8" s="22" t="s">
        <v>16</v>
      </c>
      <c r="E8" s="18" t="s">
        <v>17</v>
      </c>
      <c r="F8" s="18">
        <v>271.57</v>
      </c>
      <c r="G8" s="18">
        <v>320.81</v>
      </c>
      <c r="H8" s="18">
        <v>247.7</v>
      </c>
      <c r="I8" s="18">
        <v>329.65</v>
      </c>
      <c r="J8" s="18">
        <v>400.78</v>
      </c>
      <c r="K8" s="18">
        <v>247.7</v>
      </c>
      <c r="L8" s="18">
        <v>0</v>
      </c>
      <c r="M8" s="18">
        <v>0</v>
      </c>
      <c r="N8" s="37">
        <f t="shared" ref="N8:N13" si="1">SUM(F8:M8)</f>
        <v>1818.21</v>
      </c>
      <c r="O8" s="33"/>
      <c r="P8" s="33">
        <f t="shared" si="0"/>
        <v>0</v>
      </c>
    </row>
    <row r="9" spans="1:16" ht="54" x14ac:dyDescent="0.3">
      <c r="A9" s="22" t="s">
        <v>31</v>
      </c>
      <c r="B9" s="22" t="s">
        <v>68</v>
      </c>
      <c r="C9" s="20" t="s">
        <v>69</v>
      </c>
      <c r="D9" s="22" t="s">
        <v>64</v>
      </c>
      <c r="E9" s="18" t="s">
        <v>17</v>
      </c>
      <c r="F9" s="23">
        <f>5.24*2*1.8*17+(6.87*4+6.05+5.6*4+6.5)*1.8+17.1+26.16+25.77*15</f>
        <v>862.87200000000007</v>
      </c>
      <c r="G9" s="18">
        <f>57.28+34.5+13.81+12+(13.31+12.41)*11+25.36+46.72+26.2+25.76*11</f>
        <v>782.15000000000009</v>
      </c>
      <c r="H9" s="23">
        <f>23.07+1.26*7.57*1.8+12.96*17+(1.34*2.62+3.48*2.62*1.8)*17+12.85</f>
        <v>612.09091999999998</v>
      </c>
      <c r="I9" s="18">
        <f>25.65*18+12.95*18+13.48*18+24.8</f>
        <v>962.2399999999999</v>
      </c>
      <c r="J9" s="18">
        <f>13.19+19.38+25.62*16+(13.49+12.12)*15+25.22</f>
        <v>851.86</v>
      </c>
      <c r="K9" s="23">
        <v>612.09091999999998</v>
      </c>
      <c r="L9" s="18">
        <f>(12.8+13.96)*16+25.46+25.45*16</f>
        <v>860.81999999999994</v>
      </c>
      <c r="M9" s="18">
        <f>25.75*17+12.87</f>
        <v>450.62</v>
      </c>
      <c r="N9" s="37">
        <f t="shared" si="1"/>
        <v>5994.7438399999992</v>
      </c>
      <c r="O9" s="33"/>
      <c r="P9" s="33">
        <f t="shared" si="0"/>
        <v>0</v>
      </c>
    </row>
    <row r="10" spans="1:16" ht="40.5" x14ac:dyDescent="0.3">
      <c r="A10" s="22" t="s">
        <v>33</v>
      </c>
      <c r="B10" s="22" t="s">
        <v>32</v>
      </c>
      <c r="C10" s="20" t="s">
        <v>57</v>
      </c>
      <c r="D10" s="22" t="s">
        <v>34</v>
      </c>
      <c r="E10" s="18" t="s">
        <v>17</v>
      </c>
      <c r="F10" s="18">
        <f>575.44+770.21+289.35*15+250.35</f>
        <v>5936.25</v>
      </c>
      <c r="G10" s="18">
        <f>842.3+734.28+236.53*11+248.16</f>
        <v>4426.57</v>
      </c>
      <c r="H10" s="18">
        <f>203.53+203.18*17+238.34</f>
        <v>3895.9300000000003</v>
      </c>
      <c r="I10" s="18">
        <f>345.16+342.19*17+487.62</f>
        <v>6650.0099999999993</v>
      </c>
      <c r="J10" s="18">
        <f>324.17+338+323*14+405.28</f>
        <v>5589.45</v>
      </c>
      <c r="K10" s="18">
        <f>3657.59+238.34</f>
        <v>3895.9300000000003</v>
      </c>
      <c r="L10" s="18">
        <f>339.58*16+504</f>
        <v>5937.28</v>
      </c>
      <c r="M10" s="18">
        <f>160.06+313.18+314.65*16+456.64</f>
        <v>5964.28</v>
      </c>
      <c r="N10" s="37">
        <f t="shared" si="1"/>
        <v>42295.7</v>
      </c>
      <c r="O10" s="33"/>
      <c r="P10" s="33">
        <f t="shared" si="0"/>
        <v>0</v>
      </c>
    </row>
    <row r="11" spans="1:16" ht="40.5" x14ac:dyDescent="0.3">
      <c r="A11" s="22" t="s">
        <v>35</v>
      </c>
      <c r="B11" s="22" t="s">
        <v>36</v>
      </c>
      <c r="C11" s="20" t="s">
        <v>37</v>
      </c>
      <c r="D11" s="22" t="s">
        <v>65</v>
      </c>
      <c r="E11" s="18" t="s">
        <v>17</v>
      </c>
      <c r="F11" s="18">
        <f>17.46+60.48*15</f>
        <v>924.66</v>
      </c>
      <c r="G11" s="18">
        <f>29.48+30.05*11</f>
        <v>360.03000000000003</v>
      </c>
      <c r="H11" s="18">
        <f>31.08+30.95*17</f>
        <v>557.23</v>
      </c>
      <c r="I11" s="18">
        <f>58.09*18</f>
        <v>1045.6200000000001</v>
      </c>
      <c r="J11" s="18">
        <f>54.94+55.02*15</f>
        <v>880.24</v>
      </c>
      <c r="K11" s="18">
        <v>557.23</v>
      </c>
      <c r="L11" s="18">
        <f>59.77*16</f>
        <v>956.32</v>
      </c>
      <c r="M11" s="18">
        <f>54.16*17+30.12</f>
        <v>950.83999999999992</v>
      </c>
      <c r="N11" s="37">
        <f t="shared" si="1"/>
        <v>6232.17</v>
      </c>
      <c r="O11" s="33"/>
      <c r="P11" s="33">
        <f t="shared" si="0"/>
        <v>0</v>
      </c>
    </row>
    <row r="12" spans="1:16" ht="27" x14ac:dyDescent="0.3">
      <c r="A12" s="22" t="s">
        <v>38</v>
      </c>
      <c r="B12" s="22" t="s">
        <v>39</v>
      </c>
      <c r="C12" s="21" t="s">
        <v>40</v>
      </c>
      <c r="D12" s="22" t="s">
        <v>66</v>
      </c>
      <c r="E12" s="18" t="s">
        <v>17</v>
      </c>
      <c r="F12" s="18">
        <f>9.69+2.98*16</f>
        <v>57.37</v>
      </c>
      <c r="G12" s="18">
        <f>2.78*12+2.36</f>
        <v>35.72</v>
      </c>
      <c r="H12" s="23">
        <f>91.5*0.1+1.26*0.1*2+7.57*0.1*2+2.62*0.1*2*17+4.82*0.1*2*17</f>
        <v>36.212000000000003</v>
      </c>
      <c r="I12" s="18">
        <f>7.96+2.97*18</f>
        <v>61.42</v>
      </c>
      <c r="J12" s="18">
        <f>14.7+2.8*16+1.7</f>
        <v>61.2</v>
      </c>
      <c r="K12" s="23">
        <v>36.212000000000003</v>
      </c>
      <c r="L12" s="23">
        <f>377.78*0.1+2*7.44*0.1*17</f>
        <v>63.073999999999998</v>
      </c>
      <c r="M12" s="23">
        <f>44.27+2.8*17</f>
        <v>91.87</v>
      </c>
      <c r="N12" s="37">
        <f t="shared" si="1"/>
        <v>443.07800000000003</v>
      </c>
      <c r="O12" s="33"/>
      <c r="P12" s="33">
        <f>O12*N12</f>
        <v>0</v>
      </c>
    </row>
    <row r="13" spans="1:16" ht="27" x14ac:dyDescent="0.3">
      <c r="A13" s="22" t="s">
        <v>41</v>
      </c>
      <c r="B13" s="22" t="s">
        <v>39</v>
      </c>
      <c r="C13" s="21" t="s">
        <v>40</v>
      </c>
      <c r="D13" s="22" t="s">
        <v>67</v>
      </c>
      <c r="E13" s="18" t="s">
        <v>17</v>
      </c>
      <c r="F13" s="18">
        <f>16.69*15</f>
        <v>250.35000000000002</v>
      </c>
      <c r="G13" s="18">
        <f>22.56*11</f>
        <v>248.16</v>
      </c>
      <c r="H13" s="23">
        <f>132.41*0.1*18</f>
        <v>238.33799999999999</v>
      </c>
      <c r="I13" s="18">
        <f>27.09*18</f>
        <v>487.62</v>
      </c>
      <c r="J13" s="18">
        <f>25.33*16</f>
        <v>405.28</v>
      </c>
      <c r="K13" s="23">
        <v>238.33799999999999</v>
      </c>
      <c r="L13" s="18">
        <f>315*0.1*16</f>
        <v>504</v>
      </c>
      <c r="M13" s="18">
        <f>12.94+26.1*17</f>
        <v>456.64000000000004</v>
      </c>
      <c r="N13" s="37">
        <f t="shared" si="1"/>
        <v>2828.7259999999997</v>
      </c>
      <c r="O13" s="33"/>
      <c r="P13" s="33">
        <f>O13*N13</f>
        <v>0</v>
      </c>
    </row>
    <row r="14" spans="1:16" x14ac:dyDescent="0.3">
      <c r="A14" s="29" t="s">
        <v>61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36"/>
      <c r="P14" s="36">
        <f>SUM(P4:P13)</f>
        <v>0</v>
      </c>
    </row>
  </sheetData>
  <mergeCells count="10">
    <mergeCell ref="O2:O3"/>
    <mergeCell ref="P2:P3"/>
    <mergeCell ref="A14:N14"/>
    <mergeCell ref="A1:P1"/>
    <mergeCell ref="F2:N2"/>
    <mergeCell ref="A2:A3"/>
    <mergeCell ref="C2:C3"/>
    <mergeCell ref="D2:D3"/>
    <mergeCell ref="E2:E3"/>
    <mergeCell ref="B2:B3"/>
  </mergeCells>
  <phoneticPr fontId="7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pane ySplit="2" topLeftCell="A3" activePane="bottomLeft" state="frozen"/>
      <selection pane="bottomLeft" sqref="A1:H1"/>
    </sheetView>
  </sheetViews>
  <sheetFormatPr defaultColWidth="9" defaultRowHeight="14.25" x14ac:dyDescent="0.3"/>
  <cols>
    <col min="1" max="1" width="6" style="2" customWidth="1"/>
    <col min="2" max="2" width="15.75" style="3" customWidth="1"/>
    <col min="3" max="3" width="29" style="4" customWidth="1"/>
    <col min="4" max="4" width="17.875" style="3" customWidth="1"/>
    <col min="5" max="5" width="5.25" style="5" customWidth="1"/>
    <col min="6" max="6" width="7.125" style="5" customWidth="1"/>
    <col min="7" max="7" width="8.25" style="6" customWidth="1"/>
    <col min="8" max="8" width="9" style="6" customWidth="1"/>
    <col min="9" max="16384" width="9" style="6"/>
  </cols>
  <sheetData>
    <row r="1" spans="1:8" ht="30.75" customHeight="1" x14ac:dyDescent="0.15">
      <c r="A1" s="38" t="s">
        <v>70</v>
      </c>
      <c r="B1" s="38"/>
      <c r="C1" s="38"/>
      <c r="D1" s="38"/>
      <c r="E1" s="38"/>
      <c r="F1" s="38"/>
      <c r="G1" s="38"/>
      <c r="H1" s="38"/>
    </row>
    <row r="2" spans="1:8" s="1" customFormat="1" ht="34.5" customHeight="1" x14ac:dyDescent="0.15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41" t="s">
        <v>59</v>
      </c>
      <c r="H2" s="41" t="s">
        <v>60</v>
      </c>
    </row>
    <row r="3" spans="1:8" ht="71.25" x14ac:dyDescent="0.15">
      <c r="A3" s="39" t="s">
        <v>19</v>
      </c>
      <c r="B3" s="39" t="s">
        <v>15</v>
      </c>
      <c r="C3" s="10" t="s">
        <v>43</v>
      </c>
      <c r="D3" s="12" t="s">
        <v>74</v>
      </c>
      <c r="E3" s="11" t="s">
        <v>17</v>
      </c>
      <c r="F3" s="40">
        <v>1823.3</v>
      </c>
      <c r="G3" s="42"/>
      <c r="H3" s="42">
        <f>G3*F3</f>
        <v>0</v>
      </c>
    </row>
    <row r="4" spans="1:8" ht="99.75" x14ac:dyDescent="0.15">
      <c r="A4" s="12" t="s">
        <v>23</v>
      </c>
      <c r="B4" s="12" t="s">
        <v>15</v>
      </c>
      <c r="C4" s="10" t="s">
        <v>44</v>
      </c>
      <c r="D4" s="12" t="s">
        <v>75</v>
      </c>
      <c r="E4" s="11" t="s">
        <v>17</v>
      </c>
      <c r="F4" s="40">
        <f>5018.9+189.41</f>
        <v>5208.3099999999995</v>
      </c>
      <c r="G4" s="42"/>
      <c r="H4" s="42">
        <f>G4*F4</f>
        <v>0</v>
      </c>
    </row>
    <row r="5" spans="1:8" ht="28.5" x14ac:dyDescent="0.15">
      <c r="A5" s="39" t="s">
        <v>24</v>
      </c>
      <c r="B5" s="39" t="s">
        <v>73</v>
      </c>
      <c r="C5" s="10" t="s">
        <v>71</v>
      </c>
      <c r="D5" s="12" t="s">
        <v>72</v>
      </c>
      <c r="E5" s="11" t="s">
        <v>17</v>
      </c>
      <c r="F5" s="40">
        <v>117.46</v>
      </c>
      <c r="G5" s="42"/>
      <c r="H5" s="42">
        <f t="shared" ref="H4:H11" si="0">G5*F5</f>
        <v>0</v>
      </c>
    </row>
    <row r="6" spans="1:8" ht="57" x14ac:dyDescent="0.15">
      <c r="A6" s="24" t="s">
        <v>26</v>
      </c>
      <c r="B6" s="24" t="s">
        <v>45</v>
      </c>
      <c r="C6" s="13" t="s">
        <v>46</v>
      </c>
      <c r="D6" s="9" t="s">
        <v>76</v>
      </c>
      <c r="E6" s="11" t="s">
        <v>17</v>
      </c>
      <c r="F6" s="40">
        <v>643.79</v>
      </c>
      <c r="G6" s="42"/>
      <c r="H6" s="42">
        <f t="shared" si="0"/>
        <v>0</v>
      </c>
    </row>
    <row r="7" spans="1:8" ht="71.25" x14ac:dyDescent="0.15">
      <c r="A7" s="26"/>
      <c r="B7" s="26"/>
      <c r="C7" s="13" t="s">
        <v>47</v>
      </c>
      <c r="D7" s="9" t="s">
        <v>77</v>
      </c>
      <c r="E7" s="11" t="s">
        <v>17</v>
      </c>
      <c r="F7" s="40">
        <v>980.53</v>
      </c>
      <c r="G7" s="42"/>
      <c r="H7" s="42">
        <f t="shared" si="0"/>
        <v>0</v>
      </c>
    </row>
    <row r="8" spans="1:8" x14ac:dyDescent="0.15">
      <c r="A8" s="25"/>
      <c r="B8" s="25"/>
      <c r="C8" s="13" t="s">
        <v>48</v>
      </c>
      <c r="D8" s="9" t="s">
        <v>49</v>
      </c>
      <c r="E8" s="11" t="s">
        <v>17</v>
      </c>
      <c r="F8" s="40">
        <f>11295.9+309.47</f>
        <v>11605.369999999999</v>
      </c>
      <c r="G8" s="42"/>
      <c r="H8" s="42">
        <f t="shared" si="0"/>
        <v>0</v>
      </c>
    </row>
    <row r="9" spans="1:8" ht="42.75" x14ac:dyDescent="0.15">
      <c r="A9" s="9" t="s">
        <v>29</v>
      </c>
      <c r="B9" s="9" t="s">
        <v>36</v>
      </c>
      <c r="C9" s="10" t="s">
        <v>50</v>
      </c>
      <c r="D9" s="9" t="s">
        <v>42</v>
      </c>
      <c r="E9" s="11" t="s">
        <v>17</v>
      </c>
      <c r="F9" s="40">
        <v>66.97</v>
      </c>
      <c r="G9" s="42"/>
      <c r="H9" s="42">
        <f t="shared" si="0"/>
        <v>0</v>
      </c>
    </row>
    <row r="10" spans="1:8" ht="42.75" x14ac:dyDescent="0.15">
      <c r="A10" s="9" t="s">
        <v>38</v>
      </c>
      <c r="B10" s="9" t="s">
        <v>51</v>
      </c>
      <c r="C10" s="13" t="s">
        <v>52</v>
      </c>
      <c r="D10" s="9" t="s">
        <v>53</v>
      </c>
      <c r="E10" s="11" t="s">
        <v>17</v>
      </c>
      <c r="F10" s="40">
        <v>28.98</v>
      </c>
      <c r="G10" s="42"/>
      <c r="H10" s="42">
        <f>G10*F10</f>
        <v>0</v>
      </c>
    </row>
    <row r="11" spans="1:8" ht="35.25" customHeight="1" x14ac:dyDescent="0.15">
      <c r="A11" s="43" t="s">
        <v>61</v>
      </c>
      <c r="B11" s="44"/>
      <c r="C11" s="44"/>
      <c r="D11" s="44"/>
      <c r="E11" s="45"/>
      <c r="F11" s="11"/>
      <c r="G11" s="42"/>
      <c r="H11" s="42">
        <f>SUM(H3:H10)</f>
        <v>0</v>
      </c>
    </row>
  </sheetData>
  <mergeCells count="4">
    <mergeCell ref="A11:E11"/>
    <mergeCell ref="A1:H1"/>
    <mergeCell ref="A6:A8"/>
    <mergeCell ref="B6:B8"/>
  </mergeCells>
  <phoneticPr fontId="7" type="noConversion"/>
  <printOptions horizontalCentered="1"/>
  <pageMargins left="0.19685039370078741" right="0.19685039370078741" top="0.23622047244094491" bottom="0.23622047244094491" header="0.31496062992125984" footer="3.937007874015748E-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住宅楼</vt:lpstr>
      <vt:lpstr>车库</vt:lpstr>
      <vt:lpstr>车库!Print_Titles</vt:lpstr>
      <vt:lpstr>住宅楼!Print_Titles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2026-03-17T07:54:42Z</cp:lastPrinted>
  <dcterms:created xsi:type="dcterms:W3CDTF">2023-05-12T11:15:00Z</dcterms:created>
  <dcterms:modified xsi:type="dcterms:W3CDTF">2026-03-17T08:07:16Z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2F444F5D2A124EC489850847864B266D_13</vt:lpwstr>
  </property>
  <property fmtid="{D5CDD505-2E9C-101B-9397-08002B2CF9AE}" pid="4" name="CalculationRule">
    <vt:i4>0</vt:i4>
  </property>
</Properties>
</file>